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9540" activeTab="0"/>
  </bookViews>
  <sheets>
    <sheet name="Sheet1" sheetId="1" r:id="rId1"/>
  </sheets>
  <definedNames>
    <definedName name="Chf">'Sheet1'!$C$17</definedName>
    <definedName name="cosh_gl">'Sheet1'!$C$39</definedName>
    <definedName name="Ds">'Sheet1'!$C$40</definedName>
    <definedName name="Freq.MHz">'Sheet1'!$C$9</definedName>
    <definedName name="Gamma">'Sheet1'!$C$24</definedName>
    <definedName name="Ghf">'Sheet1'!$C$16</definedName>
    <definedName name="GjwC">'Sheet1'!$C$22</definedName>
    <definedName name="K0_">'Sheet1'!$C$5</definedName>
    <definedName name="K1_">'Sheet1'!$C$6</definedName>
    <definedName name="K2_">'Sheet1'!$C$7</definedName>
    <definedName name="Len.Ft">'Sheet1'!$C$10</definedName>
    <definedName name="Lhf">'Sheet1'!$C$15</definedName>
    <definedName name="NEPER">'Sheet1'!$C$77</definedName>
    <definedName name="NomVF">'Sheet1'!$C$4</definedName>
    <definedName name="NomZo">'Sheet1'!$C$3</definedName>
    <definedName name="Rdc">'Sheet1'!$C$13</definedName>
    <definedName name="Rhf">'Sheet1'!$C$14</definedName>
    <definedName name="RjwL">'Sheet1'!$C$21</definedName>
    <definedName name="sinh_gl">'Sheet1'!$C$38</definedName>
    <definedName name="SL">'Sheet1'!$C$78</definedName>
    <definedName name="SLfps">'Sheet1'!$C$79</definedName>
    <definedName name="solver_adj" localSheetId="0" hidden="1">'Sheet1'!$C$7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'Sheet1'!$C$6</definedName>
    <definedName name="solver_lhs2" localSheetId="0" hidden="1">'Sheet1'!$C$7</definedName>
    <definedName name="solver_lhs3" localSheetId="0" hidden="1">'Sheet1'!$C$5</definedName>
    <definedName name="solver_lhs4" localSheetId="0" hidden="1">'Sheet1'!$C$6</definedName>
    <definedName name="solver_lhs5" localSheetId="0" hidden="1">'Sheet1'!$C$6</definedName>
    <definedName name="solver_lhs6" localSheetId="0" hidden="1">'Sheet1'!$C$6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'Sheet1'!#REF!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WOPI">'Sheet1'!$C$80</definedName>
    <definedName name="w">'Sheet1'!$C$18</definedName>
    <definedName name="Zin">'Sheet1'!$C$69</definedName>
    <definedName name="Zinternal">'Sheet1'!$C$20</definedName>
    <definedName name="Zload">'Sheet1'!$C$68</definedName>
    <definedName name="Zo">'Sheet1'!$C$23</definedName>
    <definedName name="Zref">'Sheet1'!$H$34</definedName>
  </definedNames>
  <calcPr fullCalcOnLoad="1"/>
</workbook>
</file>

<file path=xl/sharedStrings.xml><?xml version="1.0" encoding="utf-8"?>
<sst xmlns="http://schemas.openxmlformats.org/spreadsheetml/2006/main" count="134" uniqueCount="114">
  <si>
    <t>NEPER</t>
  </si>
  <si>
    <t>SL</t>
  </si>
  <si>
    <t>TWOPI</t>
  </si>
  <si>
    <t>RjwL</t>
  </si>
  <si>
    <t>GjwC</t>
  </si>
  <si>
    <t>Zo</t>
  </si>
  <si>
    <t>Rdc</t>
  </si>
  <si>
    <t>Nepers/ft</t>
  </si>
  <si>
    <t>Radians/ft</t>
  </si>
  <si>
    <t>SLfps</t>
  </si>
  <si>
    <t>S/ft</t>
  </si>
  <si>
    <t>F/ft</t>
  </si>
  <si>
    <r>
      <t>W</t>
    </r>
    <r>
      <rPr>
        <sz val="10"/>
        <rFont val="Arial"/>
        <family val="0"/>
      </rPr>
      <t>/ft</t>
    </r>
  </si>
  <si>
    <r>
      <t>{2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* FHz}</t>
    </r>
  </si>
  <si>
    <t>VF</t>
  </si>
  <si>
    <t>K1</t>
  </si>
  <si>
    <t>K2</t>
  </si>
  <si>
    <t>S21 dB</t>
  </si>
  <si>
    <t>K0</t>
  </si>
  <si>
    <t>Rhf</t>
  </si>
  <si>
    <t>Lhf</t>
  </si>
  <si>
    <t>Ghf</t>
  </si>
  <si>
    <t>Chf</t>
  </si>
  <si>
    <t>Ds</t>
  </si>
  <si>
    <t>S21</t>
  </si>
  <si>
    <t>S11</t>
  </si>
  <si>
    <t>S11 dB</t>
  </si>
  <si>
    <t>Derive S-parms:</t>
  </si>
  <si>
    <t>here</t>
  </si>
  <si>
    <t xml:space="preserve">    Note PLTS "Z" = my Zo, PLTS "Zo" = my Zref.</t>
  </si>
  <si>
    <r>
      <t>W</t>
    </r>
    <r>
      <rPr>
        <sz val="10"/>
        <rFont val="Arial"/>
        <family val="0"/>
      </rPr>
      <t>, S11/S21 reference impedance</t>
    </r>
  </si>
  <si>
    <t>Nominal Zo</t>
  </si>
  <si>
    <t>Nominal VF</t>
  </si>
  <si>
    <t>Zinternal</t>
  </si>
  <si>
    <t>Loss, dB</t>
  </si>
  <si>
    <t>W</t>
  </si>
  <si>
    <t>(controls Rdc)</t>
  </si>
  <si>
    <t>(controls Ghf)</t>
  </si>
  <si>
    <t>(controls Rhf)</t>
  </si>
  <si>
    <t>S21, e.g. per VNA:</t>
  </si>
  <si>
    <t>K0/K1/K2 approx:</t>
  </si>
  <si>
    <t>MHz</t>
  </si>
  <si>
    <t>Feet</t>
  </si>
  <si>
    <t>Frequency</t>
  </si>
  <si>
    <t>Line Length</t>
  </si>
  <si>
    <t>H/ft ("external" inductance)</t>
  </si>
  <si>
    <t>Transmission Line Model used by Zplots and TLDetails</t>
  </si>
  <si>
    <t>Zref:</t>
  </si>
  <si>
    <r>
      <t>Approximate</t>
    </r>
    <r>
      <rPr>
        <sz val="10"/>
        <rFont val="Arial"/>
        <family val="0"/>
      </rPr>
      <t xml:space="preserve"> Loss dB/100ft =</t>
    </r>
  </si>
  <si>
    <t xml:space="preserve">    See Equation Set 2 </t>
  </si>
  <si>
    <t>w (omega)</t>
  </si>
  <si>
    <t>Loss Comparison, dB</t>
  </si>
  <si>
    <t>Sample data:</t>
  </si>
  <si>
    <t>Nom Zo</t>
  </si>
  <si>
    <t>Nom VF</t>
  </si>
  <si>
    <t>RG-174</t>
  </si>
  <si>
    <t>Belden 8240</t>
  </si>
  <si>
    <t>RG-58</t>
  </si>
  <si>
    <t>Re(Zo)</t>
  </si>
  <si>
    <t>Im(Zo)</t>
  </si>
  <si>
    <t>nH/ft</t>
  </si>
  <si>
    <t>µS/ft</t>
  </si>
  <si>
    <t>pF/ft</t>
  </si>
  <si>
    <t>R</t>
  </si>
  <si>
    <t>L</t>
  </si>
  <si>
    <t>G</t>
  </si>
  <si>
    <t>C</t>
  </si>
  <si>
    <t>Components of R and L:</t>
  </si>
  <si>
    <r>
      <t>m</t>
    </r>
    <r>
      <rPr>
        <sz val="10"/>
        <rFont val="Symbol"/>
        <family val="1"/>
      </rPr>
      <t>W</t>
    </r>
    <r>
      <rPr>
        <sz val="10"/>
        <rFont val="Arial"/>
        <family val="0"/>
      </rPr>
      <t>/ft</t>
    </r>
  </si>
  <si>
    <t>&lt;-- Combination of Rdc and Rhf, but not a simple sum.  Varies with frequency.</t>
  </si>
  <si>
    <t>&lt;-- Sum of "internal" and "external" inductance.  Varies with frequency.</t>
  </si>
  <si>
    <t>&lt;-- Conductance, varies with frequency.</t>
  </si>
  <si>
    <t>&lt;-- Capacitance, fixed.</t>
  </si>
  <si>
    <t>&lt;-- Fixed</t>
  </si>
  <si>
    <t>&lt;-- Varies</t>
  </si>
  <si>
    <t>Computations:</t>
  </si>
  <si>
    <t>L internal</t>
  </si>
  <si>
    <t>L external</t>
  </si>
  <si>
    <t>S11 Mag</t>
  </si>
  <si>
    <t>S21 Mag</t>
  </si>
  <si>
    <t>Loss Tangent:</t>
  </si>
  <si>
    <t>Q</t>
  </si>
  <si>
    <t>radians</t>
  </si>
  <si>
    <t>degrees</t>
  </si>
  <si>
    <t>Belden 8237</t>
  </si>
  <si>
    <t>RG-8</t>
  </si>
  <si>
    <r>
      <t>m</t>
    </r>
    <r>
      <rPr>
        <sz val="10"/>
        <rFont val="Symbol"/>
        <family val="1"/>
      </rPr>
      <t>W</t>
    </r>
    <r>
      <rPr>
        <sz val="10"/>
        <rFont val="Arial"/>
        <family val="0"/>
      </rPr>
      <t>/m</t>
    </r>
  </si>
  <si>
    <t>nH/m</t>
  </si>
  <si>
    <t>µS/m</t>
  </si>
  <si>
    <t>pF/m</t>
  </si>
  <si>
    <t>100 m = 328.084 ft</t>
  </si>
  <si>
    <t>Belden 7805</t>
  </si>
  <si>
    <t>Formulas:</t>
  </si>
  <si>
    <t>S11 Phase</t>
  </si>
  <si>
    <t>S21 Phase</t>
  </si>
  <si>
    <t>Constants:</t>
  </si>
  <si>
    <t xml:space="preserve">  (dB/neper)</t>
  </si>
  <si>
    <t xml:space="preserve">  (Mft/sec)</t>
  </si>
  <si>
    <t xml:space="preserve">  (ft/sec)</t>
  </si>
  <si>
    <t>g</t>
  </si>
  <si>
    <r>
      <t>Re(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</si>
  <si>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r>
      <t>Im(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</si>
  <si>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r>
      <t>{w / (SLfps * Im(</t>
    </r>
    <r>
      <rPr>
        <sz val="10"/>
        <rFont val="Symbol"/>
        <family val="1"/>
      </rPr>
      <t>g</t>
    </r>
    <r>
      <rPr>
        <sz val="10"/>
        <rFont val="Arial"/>
        <family val="0"/>
      </rPr>
      <t>))}</t>
    </r>
  </si>
  <si>
    <r>
      <t>{Re(</t>
    </r>
    <r>
      <rPr>
        <sz val="10"/>
        <rFont val="Symbol"/>
        <family val="1"/>
      </rPr>
      <t>g</t>
    </r>
    <r>
      <rPr>
        <sz val="10"/>
        <rFont val="Arial"/>
        <family val="0"/>
      </rPr>
      <t>) * Neper * LenFt}</t>
    </r>
  </si>
  <si>
    <r>
      <t>g*</t>
    </r>
    <r>
      <rPr>
        <sz val="10"/>
        <rFont val="Arial"/>
        <family val="0"/>
      </rPr>
      <t>Len</t>
    </r>
  </si>
  <si>
    <r>
      <t>sinh(</t>
    </r>
    <r>
      <rPr>
        <sz val="10"/>
        <rFont val="Symbol"/>
        <family val="1"/>
      </rPr>
      <t>g*</t>
    </r>
    <r>
      <rPr>
        <sz val="10"/>
        <rFont val="Arial"/>
        <family val="0"/>
      </rPr>
      <t>Len)</t>
    </r>
  </si>
  <si>
    <r>
      <t>cosh(</t>
    </r>
    <r>
      <rPr>
        <sz val="10"/>
        <rFont val="Symbol"/>
        <family val="1"/>
      </rPr>
      <t>g*</t>
    </r>
    <r>
      <rPr>
        <sz val="10"/>
        <rFont val="Arial"/>
        <family val="0"/>
      </rPr>
      <t>Len)</t>
    </r>
  </si>
  <si>
    <r>
      <t>True, via Re(</t>
    </r>
    <r>
      <rPr>
        <sz val="10"/>
        <rFont val="Symbol"/>
        <family val="1"/>
      </rPr>
      <t>g</t>
    </r>
    <r>
      <rPr>
        <sz val="10"/>
        <rFont val="Arial"/>
        <family val="0"/>
      </rPr>
      <t>):</t>
    </r>
  </si>
  <si>
    <t xml:space="preserve">  K0 + K1*sqrt(Freq) + K2*Freq</t>
  </si>
  <si>
    <t xml:space="preserve">  (rough estimate)</t>
  </si>
  <si>
    <t>Dan Maguire, AC6LA</t>
  </si>
  <si>
    <t>http://www.ac6la.com/tlmath.html</t>
  </si>
  <si>
    <t>Total line loss</t>
  </si>
  <si>
    <t>dB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</si>
</sst>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0.0%"/>
  </numFmts>
  <fonts count="7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167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 indent="1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14</xdr:row>
      <xdr:rowOff>95250</xdr:rowOff>
    </xdr:from>
    <xdr:to>
      <xdr:col>10</xdr:col>
      <xdr:colOff>190500</xdr:colOff>
      <xdr:row>19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4210050" y="2400300"/>
          <a:ext cx="1933575" cy="714375"/>
        </a:xfrm>
        <a:prstGeom prst="wedgeRoundRectCallout">
          <a:avLst>
            <a:gd name="adj1" fmla="val -75226"/>
            <a:gd name="adj2" fmla="val 6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Zinternal is the combination of all impedance values internal to the conductors:  Rdc, Rhf, and internal inductance.</a:t>
          </a:r>
        </a:p>
      </xdr:txBody>
    </xdr:sp>
    <xdr:clientData/>
  </xdr:twoCellAnchor>
  <xdr:twoCellAnchor>
    <xdr:from>
      <xdr:col>6</xdr:col>
      <xdr:colOff>514350</xdr:colOff>
      <xdr:row>19</xdr:row>
      <xdr:rowOff>152400</xdr:rowOff>
    </xdr:from>
    <xdr:to>
      <xdr:col>10</xdr:col>
      <xdr:colOff>200025</xdr:colOff>
      <xdr:row>25</xdr:row>
      <xdr:rowOff>76200</xdr:rowOff>
    </xdr:to>
    <xdr:sp>
      <xdr:nvSpPr>
        <xdr:cNvPr id="2" name="AutoShape 20"/>
        <xdr:cNvSpPr>
          <a:spLocks/>
        </xdr:cNvSpPr>
      </xdr:nvSpPr>
      <xdr:spPr>
        <a:xfrm>
          <a:off x="4210050" y="3267075"/>
          <a:ext cx="1943100" cy="895350"/>
        </a:xfrm>
        <a:prstGeom prst="wedgeRoundRectCallout">
          <a:avLst>
            <a:gd name="adj1" fmla="val -75125"/>
            <a:gd name="adj2" fmla="val -41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RjwL then combines Zinternal with the reactance of the "external" inductance due to the magnetic field *between* the conductors.</a:t>
          </a:r>
        </a:p>
      </xdr:txBody>
    </xdr:sp>
    <xdr:clientData/>
  </xdr:twoCellAnchor>
  <xdr:twoCellAnchor>
    <xdr:from>
      <xdr:col>9</xdr:col>
      <xdr:colOff>295275</xdr:colOff>
      <xdr:row>3</xdr:row>
      <xdr:rowOff>57150</xdr:rowOff>
    </xdr:from>
    <xdr:to>
      <xdr:col>13</xdr:col>
      <xdr:colOff>381000</xdr:colOff>
      <xdr:row>9</xdr:row>
      <xdr:rowOff>114300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5819775" y="581025"/>
          <a:ext cx="2219325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With Excel 2003 and earlier, this workbook requires the "Analysis Tool-Pak" Excel Add-In.  Click Tools &gt; Add-Ins and make sure "Analysis ToolPak" is checked.
With Excel 2007 and later no special action is needed.</a:t>
          </a:r>
        </a:p>
      </xdr:txBody>
    </xdr:sp>
    <xdr:clientData/>
  </xdr:twoCellAnchor>
  <xdr:twoCellAnchor>
    <xdr:from>
      <xdr:col>8</xdr:col>
      <xdr:colOff>76200</xdr:colOff>
      <xdr:row>56</xdr:row>
      <xdr:rowOff>28575</xdr:rowOff>
    </xdr:from>
    <xdr:to>
      <xdr:col>8</xdr:col>
      <xdr:colOff>171450</xdr:colOff>
      <xdr:row>57</xdr:row>
      <xdr:rowOff>142875</xdr:rowOff>
    </xdr:to>
    <xdr:sp>
      <xdr:nvSpPr>
        <xdr:cNvPr id="4" name="AutoShape 23"/>
        <xdr:cNvSpPr>
          <a:spLocks/>
        </xdr:cNvSpPr>
      </xdr:nvSpPr>
      <xdr:spPr>
        <a:xfrm>
          <a:off x="4991100" y="91344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58</xdr:row>
      <xdr:rowOff>28575</xdr:rowOff>
    </xdr:from>
    <xdr:to>
      <xdr:col>8</xdr:col>
      <xdr:colOff>171450</xdr:colOff>
      <xdr:row>59</xdr:row>
      <xdr:rowOff>142875</xdr:rowOff>
    </xdr:to>
    <xdr:sp>
      <xdr:nvSpPr>
        <xdr:cNvPr id="5" name="AutoShape 25"/>
        <xdr:cNvSpPr>
          <a:spLocks/>
        </xdr:cNvSpPr>
      </xdr:nvSpPr>
      <xdr:spPr>
        <a:xfrm>
          <a:off x="4991100" y="94583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247650</xdr:colOff>
      <xdr:row>56</xdr:row>
      <xdr:rowOff>66675</xdr:rowOff>
    </xdr:from>
    <xdr:ext cx="2019300" cy="190500"/>
    <xdr:sp>
      <xdr:nvSpPr>
        <xdr:cNvPr id="6" name="TextBox 28"/>
        <xdr:cNvSpPr txBox="1">
          <a:spLocks noChangeArrowheads="1"/>
        </xdr:cNvSpPr>
      </xdr:nvSpPr>
      <xdr:spPr>
        <a:xfrm>
          <a:off x="5162550" y="9172575"/>
          <a:ext cx="20193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Percent of total R at this frequency.</a:t>
          </a:r>
        </a:p>
      </xdr:txBody>
    </xdr:sp>
    <xdr:clientData/>
  </xdr:oneCellAnchor>
  <xdr:oneCellAnchor>
    <xdr:from>
      <xdr:col>8</xdr:col>
      <xdr:colOff>247650</xdr:colOff>
      <xdr:row>58</xdr:row>
      <xdr:rowOff>66675</xdr:rowOff>
    </xdr:from>
    <xdr:ext cx="2000250" cy="190500"/>
    <xdr:sp>
      <xdr:nvSpPr>
        <xdr:cNvPr id="7" name="TextBox 29"/>
        <xdr:cNvSpPr txBox="1">
          <a:spLocks noChangeArrowheads="1"/>
        </xdr:cNvSpPr>
      </xdr:nvSpPr>
      <xdr:spPr>
        <a:xfrm>
          <a:off x="5162550" y="9496425"/>
          <a:ext cx="2000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Percent of total L at this frequency.</a:t>
          </a:r>
        </a:p>
      </xdr:txBody>
    </xdr:sp>
    <xdr:clientData/>
  </xdr:oneCellAnchor>
  <xdr:twoCellAnchor>
    <xdr:from>
      <xdr:col>0</xdr:col>
      <xdr:colOff>209550</xdr:colOff>
      <xdr:row>1</xdr:row>
      <xdr:rowOff>95250</xdr:rowOff>
    </xdr:from>
    <xdr:to>
      <xdr:col>4</xdr:col>
      <xdr:colOff>390525</xdr:colOff>
      <xdr:row>10</xdr:row>
      <xdr:rowOff>76200</xdr:rowOff>
    </xdr:to>
    <xdr:sp>
      <xdr:nvSpPr>
        <xdr:cNvPr id="8" name="Rectangle 34"/>
        <xdr:cNvSpPr>
          <a:spLocks/>
        </xdr:cNvSpPr>
      </xdr:nvSpPr>
      <xdr:spPr>
        <a:xfrm>
          <a:off x="209550" y="295275"/>
          <a:ext cx="2657475" cy="1438275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276225</xdr:colOff>
      <xdr:row>1</xdr:row>
      <xdr:rowOff>9525</xdr:rowOff>
    </xdr:from>
    <xdr:ext cx="771525" cy="123825"/>
    <xdr:sp>
      <xdr:nvSpPr>
        <xdr:cNvPr id="9" name="TextBox 35"/>
        <xdr:cNvSpPr txBox="1">
          <a:spLocks noChangeArrowheads="1"/>
        </xdr:cNvSpPr>
      </xdr:nvSpPr>
      <xdr:spPr>
        <a:xfrm>
          <a:off x="276225" y="209550"/>
          <a:ext cx="7715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User Input Area</a:t>
          </a:r>
        </a:p>
      </xdr:txBody>
    </xdr:sp>
    <xdr:clientData/>
  </xdr:oneCellAnchor>
  <xdr:twoCellAnchor>
    <xdr:from>
      <xdr:col>5</xdr:col>
      <xdr:colOff>314325</xdr:colOff>
      <xdr:row>76</xdr:row>
      <xdr:rowOff>85725</xdr:rowOff>
    </xdr:from>
    <xdr:to>
      <xdr:col>11</xdr:col>
      <xdr:colOff>266700</xdr:colOff>
      <xdr:row>82</xdr:row>
      <xdr:rowOff>104775</xdr:rowOff>
    </xdr:to>
    <xdr:sp>
      <xdr:nvSpPr>
        <xdr:cNvPr id="10" name="TextBox 36"/>
        <xdr:cNvSpPr txBox="1">
          <a:spLocks noChangeArrowheads="1"/>
        </xdr:cNvSpPr>
      </xdr:nvSpPr>
      <xdr:spPr>
        <a:xfrm>
          <a:off x="3400425" y="12430125"/>
          <a:ext cx="31527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Credit:
Algorithm for Zinternal:  Johnson, "High Speed Signal Propagation", section 3.1, equations 3.3 and 3.4.
Algorithm for total line loss:  W7XC (SK), Technical Correspondence, QST November 1997.
</a:t>
          </a:r>
        </a:p>
      </xdr:txBody>
    </xdr:sp>
    <xdr:clientData/>
  </xdr:twoCellAnchor>
  <xdr:twoCellAnchor editAs="oneCell">
    <xdr:from>
      <xdr:col>6</xdr:col>
      <xdr:colOff>38100</xdr:colOff>
      <xdr:row>68</xdr:row>
      <xdr:rowOff>38100</xdr:rowOff>
    </xdr:from>
    <xdr:to>
      <xdr:col>12</xdr:col>
      <xdr:colOff>85725</xdr:colOff>
      <xdr:row>71</xdr:row>
      <xdr:rowOff>133350</xdr:rowOff>
    </xdr:to>
    <xdr:pic>
      <xdr:nvPicPr>
        <xdr:cNvPr id="1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1087100"/>
          <a:ext cx="32480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38100</xdr:colOff>
      <xdr:row>22</xdr:row>
      <xdr:rowOff>38100</xdr:rowOff>
    </xdr:from>
    <xdr:to>
      <xdr:col>13</xdr:col>
      <xdr:colOff>723900</xdr:colOff>
      <xdr:row>49</xdr:row>
      <xdr:rowOff>95250</xdr:rowOff>
    </xdr:to>
    <xdr:pic>
      <xdr:nvPicPr>
        <xdr:cNvPr id="1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3638550"/>
          <a:ext cx="2057400" cy="442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123825</xdr:colOff>
      <xdr:row>43</xdr:row>
      <xdr:rowOff>114300</xdr:rowOff>
    </xdr:from>
    <xdr:to>
      <xdr:col>11</xdr:col>
      <xdr:colOff>9525</xdr:colOff>
      <xdr:row>49</xdr:row>
      <xdr:rowOff>95250</xdr:rowOff>
    </xdr:to>
    <xdr:pic>
      <xdr:nvPicPr>
        <xdr:cNvPr id="1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7115175"/>
          <a:ext cx="24765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4</xdr:col>
      <xdr:colOff>47625</xdr:colOff>
      <xdr:row>63</xdr:row>
      <xdr:rowOff>66675</xdr:rowOff>
    </xdr:from>
    <xdr:ext cx="1781175" cy="352425"/>
    <xdr:sp>
      <xdr:nvSpPr>
        <xdr:cNvPr id="14" name="TextBox 52"/>
        <xdr:cNvSpPr txBox="1">
          <a:spLocks noChangeArrowheads="1"/>
        </xdr:cNvSpPr>
      </xdr:nvSpPr>
      <xdr:spPr>
        <a:xfrm>
          <a:off x="2524125" y="10306050"/>
          <a:ext cx="17811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transform from input to load,
make the line length negative.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.tm.agilent.com/plts/help/WebHelp/Analyzing/Analyzing_Transmission_Line_Parameters.html" TargetMode="External" /><Relationship Id="rId2" Type="http://schemas.openxmlformats.org/officeDocument/2006/relationships/hyperlink" Target="http://www.ac6la.com/tlmath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6"/>
  <sheetViews>
    <sheetView tabSelected="1" workbookViewId="0" topLeftCell="A1">
      <pane ySplit="11" topLeftCell="BM12" activePane="bottomLeft" state="frozen"/>
      <selection pane="topLeft" activeCell="C1" sqref="C1"/>
      <selection pane="bottomLeft" activeCell="I1" sqref="I1"/>
    </sheetView>
  </sheetViews>
  <sheetFormatPr defaultColWidth="9.140625" defaultRowHeight="12.75"/>
  <cols>
    <col min="1" max="1" width="5.7109375" style="0" customWidth="1"/>
    <col min="2" max="3" width="11.140625" style="0" customWidth="1"/>
    <col min="10" max="10" width="6.421875" style="0" customWidth="1"/>
    <col min="11" max="11" width="5.00390625" style="0" customWidth="1"/>
    <col min="13" max="15" width="11.421875" style="0" customWidth="1"/>
  </cols>
  <sheetData>
    <row r="1" spans="1:12" ht="15.75">
      <c r="A1" s="9" t="s">
        <v>46</v>
      </c>
      <c r="L1" t="s">
        <v>110</v>
      </c>
    </row>
    <row r="2" spans="12:14" ht="12.75">
      <c r="L2" s="36" t="s">
        <v>111</v>
      </c>
      <c r="M2" s="36"/>
      <c r="N2" s="36"/>
    </row>
    <row r="3" spans="2:4" ht="12.75">
      <c r="B3" t="s">
        <v>31</v>
      </c>
      <c r="C3">
        <v>51.5</v>
      </c>
      <c r="D3" s="4" t="s">
        <v>35</v>
      </c>
    </row>
    <row r="4" spans="2:3" ht="12.75">
      <c r="B4" t="s">
        <v>32</v>
      </c>
      <c r="C4">
        <v>0.66</v>
      </c>
    </row>
    <row r="5" spans="2:6" ht="12.75">
      <c r="B5" t="s">
        <v>18</v>
      </c>
      <c r="C5">
        <v>0.118904</v>
      </c>
      <c r="D5" s="5" t="s">
        <v>36</v>
      </c>
      <c r="F5" s="7" t="s">
        <v>48</v>
      </c>
    </row>
    <row r="6" spans="2:6" ht="12.75">
      <c r="B6" t="s">
        <v>15</v>
      </c>
      <c r="C6">
        <v>0.321239</v>
      </c>
      <c r="D6" s="5" t="s">
        <v>38</v>
      </c>
      <c r="F6" t="s">
        <v>108</v>
      </c>
    </row>
    <row r="7" spans="2:12" ht="12.75">
      <c r="B7" t="s">
        <v>16</v>
      </c>
      <c r="C7">
        <v>0.004695</v>
      </c>
      <c r="D7" s="5" t="s">
        <v>37</v>
      </c>
      <c r="F7" t="s">
        <v>109</v>
      </c>
      <c r="L7" s="6"/>
    </row>
    <row r="9" spans="2:4" ht="12.75">
      <c r="B9" t="s">
        <v>43</v>
      </c>
      <c r="C9">
        <v>14</v>
      </c>
      <c r="D9" s="5" t="s">
        <v>41</v>
      </c>
    </row>
    <row r="10" spans="2:6" ht="12.75">
      <c r="B10" t="s">
        <v>44</v>
      </c>
      <c r="C10">
        <v>100</v>
      </c>
      <c r="D10" s="5" t="s">
        <v>42</v>
      </c>
      <c r="F10" t="s">
        <v>90</v>
      </c>
    </row>
    <row r="12" ht="12.75">
      <c r="A12" t="s">
        <v>75</v>
      </c>
    </row>
    <row r="13" spans="2:12" ht="12.75">
      <c r="B13" t="s">
        <v>6</v>
      </c>
      <c r="C13">
        <f>2*(K0_/100/NEPER)*NomZo</f>
        <v>0.01410000876171425</v>
      </c>
      <c r="D13" s="4" t="s">
        <v>12</v>
      </c>
      <c r="L13" t="s">
        <v>52</v>
      </c>
    </row>
    <row r="14" spans="2:15" ht="12.75">
      <c r="B14" t="s">
        <v>19</v>
      </c>
      <c r="C14">
        <f>2*(K1_/100/NEPER*SQRT(Freq.MHz))*NomZo</f>
        <v>0.14253292606464277</v>
      </c>
      <c r="D14" s="4" t="s">
        <v>12</v>
      </c>
      <c r="M14" t="s">
        <v>91</v>
      </c>
      <c r="N14" t="s">
        <v>56</v>
      </c>
      <c r="O14" t="s">
        <v>84</v>
      </c>
    </row>
    <row r="15" spans="2:15" ht="12.75">
      <c r="B15" t="s">
        <v>20</v>
      </c>
      <c r="C15">
        <f>NomZo/(SLfps*NomVF)</f>
        <v>7.933367144158231E-08</v>
      </c>
      <c r="D15" s="5" t="s">
        <v>45</v>
      </c>
      <c r="M15" t="s">
        <v>55</v>
      </c>
      <c r="N15" t="s">
        <v>57</v>
      </c>
      <c r="O15" t="s">
        <v>85</v>
      </c>
    </row>
    <row r="16" spans="2:15" ht="12.75">
      <c r="B16" t="s">
        <v>21</v>
      </c>
      <c r="C16">
        <f>2*(K2_/100/NEPER*Freq.MHz)/NomZo</f>
        <v>2.9388139449028866E-06</v>
      </c>
      <c r="D16" s="5" t="s">
        <v>10</v>
      </c>
      <c r="L16" t="s">
        <v>53</v>
      </c>
      <c r="M16">
        <v>50</v>
      </c>
      <c r="N16">
        <v>51.5</v>
      </c>
      <c r="O16">
        <v>52</v>
      </c>
    </row>
    <row r="17" spans="2:15" ht="12.75">
      <c r="B17" t="s">
        <v>22</v>
      </c>
      <c r="C17">
        <f>1/(NomZo*SLfps*NomVF)</f>
        <v>2.991183766295874E-11</v>
      </c>
      <c r="D17" s="5" t="s">
        <v>11</v>
      </c>
      <c r="L17" t="s">
        <v>54</v>
      </c>
      <c r="M17">
        <v>0.66</v>
      </c>
      <c r="N17">
        <v>0.66</v>
      </c>
      <c r="O17">
        <v>0.66</v>
      </c>
    </row>
    <row r="18" spans="2:15" ht="12.75">
      <c r="B18" t="s">
        <v>50</v>
      </c>
      <c r="C18">
        <f>TWOPI*Freq.MHz*1000000</f>
        <v>87964594.3005142</v>
      </c>
      <c r="D18" s="5" t="s">
        <v>13</v>
      </c>
      <c r="L18" t="s">
        <v>18</v>
      </c>
      <c r="M18" s="30">
        <v>0.35699</v>
      </c>
      <c r="N18" s="30">
        <v>0.118904</v>
      </c>
      <c r="O18" s="30">
        <v>0.025891</v>
      </c>
    </row>
    <row r="19" spans="12:15" ht="12.75">
      <c r="L19" t="s">
        <v>15</v>
      </c>
      <c r="M19" s="30">
        <v>0.690569</v>
      </c>
      <c r="N19" s="30">
        <v>0.321239</v>
      </c>
      <c r="O19" s="30">
        <v>0.185562</v>
      </c>
    </row>
    <row r="20" spans="2:15" ht="12.75">
      <c r="B20" t="s">
        <v>33</v>
      </c>
      <c r="C20" t="str">
        <f>IMSQRT(IMSUM(IMPOWER(COMPLEX(Rdc,0,"j"),2),IMPOWER(COMPLEX(Rhf,Rhf,"j"),2)))</f>
        <v>0.142882060914005+0.142184644332477j</v>
      </c>
      <c r="D20" s="5"/>
      <c r="L20" t="s">
        <v>16</v>
      </c>
      <c r="M20" s="30">
        <v>0.001356</v>
      </c>
      <c r="N20" s="30">
        <v>0.004695</v>
      </c>
      <c r="O20" s="30">
        <v>0.001357</v>
      </c>
    </row>
    <row r="21" spans="2:3" ht="12.75">
      <c r="B21" t="s">
        <v>3</v>
      </c>
      <c r="C21" t="str">
        <f>IMSUM(Zinternal,COMPLEX(0,w*Lhf,"j"))</f>
        <v>0.142882060914005+7.12073886706156j</v>
      </c>
    </row>
    <row r="22" spans="2:12" ht="12.75">
      <c r="B22" t="s">
        <v>4</v>
      </c>
      <c r="C22" t="str">
        <f>COMPLEX(Ghf,w*Chf,"j")</f>
        <v>2.93881394490289E-006+2.63118266480501E-003j</v>
      </c>
      <c r="L22" t="s">
        <v>92</v>
      </c>
    </row>
    <row r="23" spans="2:3" ht="12.75">
      <c r="B23" t="s">
        <v>5</v>
      </c>
      <c r="C23" t="str">
        <f>IMSQRT(IMDIV(RjwL,GjwC))</f>
        <v>52.0248832435808-0.492846813222545j</v>
      </c>
    </row>
    <row r="24" spans="2:3" ht="12.75">
      <c r="B24" s="32" t="s">
        <v>99</v>
      </c>
      <c r="C24" t="str">
        <f>IMSQRT(IMPRODUCT(RjwL,GjwC))</f>
        <v>1.44966144371374E-003+0.136885522543927j</v>
      </c>
    </row>
    <row r="26" spans="2:4" ht="12.75">
      <c r="B26" t="s">
        <v>58</v>
      </c>
      <c r="C26" s="33">
        <f>IMREAL(Zo)</f>
        <v>52.0248832435808</v>
      </c>
      <c r="D26" s="4" t="s">
        <v>35</v>
      </c>
    </row>
    <row r="27" spans="2:4" ht="12.75">
      <c r="B27" t="s">
        <v>59</v>
      </c>
      <c r="C27" s="33">
        <f>IMAGINARY(Zo)</f>
        <v>-0.492846813222545</v>
      </c>
      <c r="D27" s="4" t="s">
        <v>35</v>
      </c>
    </row>
    <row r="28" spans="2:4" ht="12.75">
      <c r="B28" t="s">
        <v>100</v>
      </c>
      <c r="C28">
        <f>IMREAL(Gamma)</f>
        <v>0.00144966144371374</v>
      </c>
      <c r="D28" s="5" t="s">
        <v>7</v>
      </c>
    </row>
    <row r="29" spans="2:10" ht="12.75">
      <c r="B29" t="s">
        <v>101</v>
      </c>
      <c r="C29">
        <f>IMAGINARY(Gamma)</f>
        <v>0.136885522543927</v>
      </c>
      <c r="D29" s="5" t="s">
        <v>8</v>
      </c>
      <c r="H29" s="11" t="s">
        <v>51</v>
      </c>
      <c r="I29" s="12"/>
      <c r="J29" s="13"/>
    </row>
    <row r="30" spans="2:10" ht="12.75">
      <c r="B30" t="s">
        <v>34</v>
      </c>
      <c r="C30" s="33">
        <f>C28*NEPER*Len.Ft</f>
        <v>1.2591599312655573</v>
      </c>
      <c r="D30" s="5" t="s">
        <v>103</v>
      </c>
      <c r="H30" s="14"/>
      <c r="I30" s="16" t="s">
        <v>107</v>
      </c>
      <c r="J30" s="18">
        <f>C30</f>
        <v>1.2591599312655573</v>
      </c>
    </row>
    <row r="31" spans="2:13" ht="12.75">
      <c r="B31" t="s">
        <v>14</v>
      </c>
      <c r="C31" s="34">
        <f>w/(SLfps*C29)</f>
        <v>0.6533481197620629</v>
      </c>
      <c r="D31" s="5" t="s">
        <v>102</v>
      </c>
      <c r="H31" s="14"/>
      <c r="I31" s="16" t="s">
        <v>39</v>
      </c>
      <c r="J31" s="18">
        <f>-C48</f>
        <v>1.2648603696262362</v>
      </c>
      <c r="L31" s="28"/>
      <c r="M31" s="29"/>
    </row>
    <row r="32" spans="8:10" ht="12.75">
      <c r="H32" s="15"/>
      <c r="I32" s="17" t="s">
        <v>40</v>
      </c>
      <c r="J32" s="19">
        <f>(K0_+K1_*SQRT(Freq.MHz)+K2_*Freq.MHz)/100*Len.Ft</f>
        <v>1.386600277269874</v>
      </c>
    </row>
    <row r="33" spans="8:10" ht="12.75">
      <c r="H33" s="25"/>
      <c r="I33" s="16"/>
      <c r="J33" s="26"/>
    </row>
    <row r="34" spans="1:8" ht="12.75">
      <c r="A34" t="s">
        <v>27</v>
      </c>
      <c r="G34" s="2" t="s">
        <v>47</v>
      </c>
      <c r="H34" s="10">
        <v>50</v>
      </c>
    </row>
    <row r="35" spans="3:7" ht="12.75">
      <c r="C35" s="8" t="s">
        <v>49</v>
      </c>
      <c r="D35" s="1" t="s">
        <v>28</v>
      </c>
      <c r="G35" s="4" t="s">
        <v>30</v>
      </c>
    </row>
    <row r="36" ht="12.75">
      <c r="B36" t="s">
        <v>29</v>
      </c>
    </row>
    <row r="37" spans="2:3" ht="12.75">
      <c r="B37" s="32" t="s">
        <v>104</v>
      </c>
      <c r="C37" t="str">
        <f>IMPRODUCT(Gamma,Len.Ft)</f>
        <v>0.144966144371374+13.6885522543927j</v>
      </c>
    </row>
    <row r="38" spans="2:3" ht="12.75">
      <c r="B38" t="s">
        <v>105</v>
      </c>
      <c r="C38" t="str">
        <f>COMPLEX(COS(IMAGINARY(C37))*SINH(IMREAL(C37)),SIN(IMAGINARY(C37))*COSH(IMREAL(C37)),"j")</f>
        <v>6.30948359769421E-002+0.91053324672842j</v>
      </c>
    </row>
    <row r="39" spans="2:3" ht="12.75">
      <c r="B39" t="s">
        <v>106</v>
      </c>
      <c r="C39" t="str">
        <f>COMPLEX(COS(IMAGINARY(C37))*COSH(IMREAL(C37)),SIN(IMAGINARY(C37))*SINH(IMREAL(C37)),"j")</f>
        <v>0.43828303112066+0.131079557670728j</v>
      </c>
    </row>
    <row r="40" spans="2:3" ht="12.75">
      <c r="B40" t="s">
        <v>23</v>
      </c>
      <c r="C40" t="str">
        <f>IMSUM(IMPRODUCT(IMPRODUCT(2*Zref,Zo),cosh_gl),IMPRODUCT(IMSUM(Zref^2,IMPRODUCT(Zo,Zo)),sinh_gl))</f>
        <v>2661.80877412863+5397.65443124983j</v>
      </c>
    </row>
    <row r="41" spans="2:3" ht="12.75">
      <c r="B41" t="s">
        <v>25</v>
      </c>
      <c r="C41" t="str">
        <f>IMDIV(IMPRODUCT(IMSUB(IMPRODUCT(Zo,Zo),Zref^2),sinh_gl),Ds)</f>
        <v>3.19054814135953E-002+4.6713369379071E-003j</v>
      </c>
    </row>
    <row r="42" spans="2:3" ht="12.75">
      <c r="B42" t="s">
        <v>24</v>
      </c>
      <c r="C42" t="str">
        <f>IMDIV(IMPRODUCT(2*Zref,Zo),Ds)</f>
        <v>0.374987441974728-0.77892045789011j</v>
      </c>
    </row>
    <row r="43" spans="2:3" ht="12.75">
      <c r="B43" t="s">
        <v>78</v>
      </c>
      <c r="C43">
        <f>IMABS(C41)</f>
        <v>0.032245637426181084</v>
      </c>
    </row>
    <row r="44" spans="2:3" ht="12.75">
      <c r="B44" t="s">
        <v>93</v>
      </c>
      <c r="C44">
        <f>DEGREES(IMARGUMENT(C41))</f>
        <v>8.329592222708708</v>
      </c>
    </row>
    <row r="45" spans="2:3" ht="12.75">
      <c r="B45" t="s">
        <v>26</v>
      </c>
      <c r="C45" s="21">
        <f>20*LOG10(C43)</f>
        <v>-29.830580671672266</v>
      </c>
    </row>
    <row r="46" spans="2:3" ht="12.75">
      <c r="B46" t="s">
        <v>79</v>
      </c>
      <c r="C46">
        <f>IMABS(C42)</f>
        <v>0.8644840434377541</v>
      </c>
    </row>
    <row r="47" spans="2:3" ht="12.75">
      <c r="B47" t="s">
        <v>94</v>
      </c>
      <c r="C47">
        <f>DEGREES(IMARGUMENT(C42))</f>
        <v>-64.29293253867816</v>
      </c>
    </row>
    <row r="48" spans="2:3" ht="12.75">
      <c r="B48" t="s">
        <v>17</v>
      </c>
      <c r="C48" s="21">
        <f>20*LOG10(C46)</f>
        <v>-1.2648603696262362</v>
      </c>
    </row>
    <row r="51" ht="12.75">
      <c r="A51" t="str">
        <f>"Extract RLGC parameters (at entered freq of "&amp;Freq.MHz&amp;" Freq.MHz):"</f>
        <v>Extract RLGC parameters (at entered freq of 14 Freq.MHz):</v>
      </c>
    </row>
    <row r="52" spans="2:7" ht="12.75">
      <c r="B52" s="2" t="s">
        <v>63</v>
      </c>
      <c r="C52" s="33">
        <f>IMREAL(RjwL)*1000</f>
        <v>142.882060914005</v>
      </c>
      <c r="D52" s="5" t="s">
        <v>68</v>
      </c>
      <c r="E52" s="33">
        <f>C52/0.3048</f>
        <v>468.7731657283628</v>
      </c>
      <c r="F52" s="5" t="s">
        <v>86</v>
      </c>
      <c r="G52" t="s">
        <v>69</v>
      </c>
    </row>
    <row r="53" spans="2:7" ht="12.75">
      <c r="B53" s="2" t="s">
        <v>64</v>
      </c>
      <c r="C53" s="33">
        <f>IMAGINARY(RjwL)/w*1000000000</f>
        <v>80.95005636853071</v>
      </c>
      <c r="D53" s="5" t="s">
        <v>60</v>
      </c>
      <c r="E53" s="33">
        <f aca="true" t="shared" si="0" ref="E53:E60">C53/0.3048</f>
        <v>265.5841744374367</v>
      </c>
      <c r="F53" s="5" t="s">
        <v>87</v>
      </c>
      <c r="G53" t="s">
        <v>70</v>
      </c>
    </row>
    <row r="54" spans="2:12" ht="12.75">
      <c r="B54" s="2" t="s">
        <v>65</v>
      </c>
      <c r="C54" s="33">
        <f>IMREAL(GjwC)*1000000</f>
        <v>2.93881394490289</v>
      </c>
      <c r="D54" s="5" t="s">
        <v>61</v>
      </c>
      <c r="E54" s="33">
        <f t="shared" si="0"/>
        <v>9.6417780344583</v>
      </c>
      <c r="F54" s="5" t="s">
        <v>88</v>
      </c>
      <c r="G54" t="s">
        <v>71</v>
      </c>
      <c r="L54" s="28"/>
    </row>
    <row r="55" spans="2:7" ht="12.75">
      <c r="B55" s="2" t="s">
        <v>66</v>
      </c>
      <c r="C55" s="33">
        <f>IMAGINARY(GjwC)/w*1000000000000</f>
        <v>29.911837662958774</v>
      </c>
      <c r="D55" s="5" t="s">
        <v>62</v>
      </c>
      <c r="E55" s="33">
        <f t="shared" si="0"/>
        <v>98.13595033779124</v>
      </c>
      <c r="F55" s="5" t="s">
        <v>89</v>
      </c>
      <c r="G55" t="s">
        <v>72</v>
      </c>
    </row>
    <row r="56" spans="1:5" ht="12.75">
      <c r="A56" s="5" t="s">
        <v>67</v>
      </c>
      <c r="C56" s="6"/>
      <c r="E56" s="6"/>
    </row>
    <row r="57" spans="2:8" ht="12.75">
      <c r="B57" s="2" t="s">
        <v>6</v>
      </c>
      <c r="C57" s="33">
        <f>Rdc*1000</f>
        <v>14.10000876171425</v>
      </c>
      <c r="D57" s="5" t="s">
        <v>68</v>
      </c>
      <c r="E57" s="33">
        <f t="shared" si="0"/>
        <v>46.2598712654667</v>
      </c>
      <c r="F57" s="5" t="s">
        <v>86</v>
      </c>
      <c r="G57" t="s">
        <v>73</v>
      </c>
      <c r="H57" s="22">
        <f>C57/C52</f>
        <v>0.09868284843819884</v>
      </c>
    </row>
    <row r="58" spans="2:8" ht="12.75">
      <c r="B58" s="2" t="s">
        <v>19</v>
      </c>
      <c r="C58" s="33">
        <f>C52-C57</f>
        <v>128.78205215229076</v>
      </c>
      <c r="D58" s="5" t="s">
        <v>68</v>
      </c>
      <c r="E58" s="33">
        <f t="shared" si="0"/>
        <v>422.51329446289617</v>
      </c>
      <c r="F58" s="5" t="s">
        <v>86</v>
      </c>
      <c r="G58" t="s">
        <v>74</v>
      </c>
      <c r="H58" s="22">
        <f>C58/C52</f>
        <v>0.9013171515618013</v>
      </c>
    </row>
    <row r="59" spans="2:8" ht="12.75">
      <c r="B59" s="2" t="s">
        <v>76</v>
      </c>
      <c r="C59" s="33">
        <f>C53-C60</f>
        <v>1.616384926948399</v>
      </c>
      <c r="D59" s="5" t="s">
        <v>60</v>
      </c>
      <c r="E59" s="33">
        <f t="shared" si="0"/>
        <v>5.30310015403018</v>
      </c>
      <c r="F59" s="5" t="s">
        <v>87</v>
      </c>
      <c r="G59" t="s">
        <v>74</v>
      </c>
      <c r="H59" s="22">
        <f>C59/C53</f>
        <v>0.01996768130203264</v>
      </c>
    </row>
    <row r="60" spans="2:8" ht="12.75">
      <c r="B60" s="2" t="s">
        <v>77</v>
      </c>
      <c r="C60" s="33">
        <f>Lhf*1000000000</f>
        <v>79.33367144158231</v>
      </c>
      <c r="D60" s="5" t="s">
        <v>60</v>
      </c>
      <c r="E60" s="33">
        <f t="shared" si="0"/>
        <v>260.2810742834065</v>
      </c>
      <c r="F60" s="5" t="s">
        <v>87</v>
      </c>
      <c r="G60" t="s">
        <v>73</v>
      </c>
      <c r="H60" s="22">
        <f>C60/C53</f>
        <v>0.9800323186979674</v>
      </c>
    </row>
    <row r="61" spans="1:6" ht="12.75">
      <c r="A61" s="5" t="s">
        <v>80</v>
      </c>
      <c r="B61" s="2"/>
      <c r="C61" s="20"/>
      <c r="D61" s="5"/>
      <c r="F61" s="22"/>
    </row>
    <row r="62" spans="2:6" ht="12.75">
      <c r="B62" s="27" t="s">
        <v>81</v>
      </c>
      <c r="C62" s="35">
        <f>ATAN(IMREAL(GjwC)/IMAGINARY(GjwC))</f>
        <v>0.0011169170282824905</v>
      </c>
      <c r="D62" s="5" t="s">
        <v>82</v>
      </c>
      <c r="E62" s="35">
        <f>C62*180/PI()</f>
        <v>0.06399463178688071</v>
      </c>
      <c r="F62" s="5" t="s">
        <v>83</v>
      </c>
    </row>
    <row r="63" spans="2:6" ht="12.75">
      <c r="B63" s="2"/>
      <c r="C63" s="20"/>
      <c r="D63" s="5"/>
      <c r="F63" s="22"/>
    </row>
    <row r="65" ht="12.75">
      <c r="A65" t="str">
        <f>IF(Len.Ft&gt;0,"Impedance transform, load to input:","Impedance transform, input to load:")</f>
        <v>Impedance transform, load to input:</v>
      </c>
    </row>
    <row r="66" spans="2:4" ht="12.75">
      <c r="B66" s="2" t="str">
        <f>IF(Len.Ft&gt;0,"R at load","R at input")</f>
        <v>R at load</v>
      </c>
      <c r="C66" s="23">
        <v>25</v>
      </c>
      <c r="D66" s="4" t="s">
        <v>35</v>
      </c>
    </row>
    <row r="67" spans="2:4" ht="12.75">
      <c r="B67" s="2" t="str">
        <f>IF(Len.Ft&gt;0,"X at load","X at input")</f>
        <v>X at load</v>
      </c>
      <c r="C67" s="24">
        <v>10</v>
      </c>
      <c r="D67" s="4" t="s">
        <v>35</v>
      </c>
    </row>
    <row r="68" spans="2:3" ht="12.75">
      <c r="B68" s="2" t="str">
        <f>IF(Len.Ft&gt;0,"Z at load","Z at input")</f>
        <v>Z at load</v>
      </c>
      <c r="C68" t="str">
        <f>COMPLEX(C66,C67,"j")</f>
        <v>25+10j</v>
      </c>
    </row>
    <row r="69" spans="2:3" ht="12.75">
      <c r="B69" s="2" t="str">
        <f>IF(Len.Ft&gt;0,"Z at input","Z at load")</f>
        <v>Z at input</v>
      </c>
      <c r="C69" t="str">
        <f>IMPRODUCT(Zo,IMDIV(IMSUM(IMPRODUCT(Zload,cosh_gl),IMPRODUCT(Zo,sinh_gl)),IMSUM(IMPRODUCT(Zo,cosh_gl),IMPRODUCT(Zload,sinh_gl))))</f>
        <v>85.2118304205344+19.4658680905111j</v>
      </c>
    </row>
    <row r="70" spans="2:3" ht="12.75">
      <c r="B70" s="2" t="str">
        <f>IF(Len.Ft&gt;0,"R at input","R at load")</f>
        <v>R at input</v>
      </c>
      <c r="C70" s="33">
        <f>IMREAL(C69)</f>
        <v>85.2118304205344</v>
      </c>
    </row>
    <row r="71" spans="2:3" ht="12.75">
      <c r="B71" s="2" t="str">
        <f>IF(Len.Ft&gt;0,"X at input","X at load")</f>
        <v>X at input</v>
      </c>
      <c r="C71" s="33">
        <f>IMAGINARY(C69)</f>
        <v>19.4658680905111</v>
      </c>
    </row>
    <row r="73" spans="2:4" ht="12.75">
      <c r="B73" s="2" t="s">
        <v>112</v>
      </c>
      <c r="C73" s="33">
        <f>IF(Len.Ft&gt;0,10*LOG10((1-IMABS(IMDIV(IMSUB(Zin,IMCONJUGATE(Zo)),IMSUM(Zin,Zo)))^2)/(1-IMABS(IMDIV(IMSUB(Zload,IMCONJUGATE(Zo)),IMSUM(Zload,Zo)))^2)),10*LOG10((1-IMABS(IMDIV(IMSUB(Zload,IMCONJUGATE(Zo)),IMSUM(Zload,Zo)))^2)/(1-IMABS(IMDIV(IMSUB(Zin,IMCONJUGATE(Zo)),IMSUM(Zin,Zo)))^2)))+ABS(C30)</f>
        <v>1.5514147741516902</v>
      </c>
      <c r="D73" s="5" t="s">
        <v>113</v>
      </c>
    </row>
    <row r="74" ht="12.75">
      <c r="C74" s="21"/>
    </row>
    <row r="76" ht="12.75">
      <c r="A76" t="s">
        <v>95</v>
      </c>
    </row>
    <row r="77" spans="2:4" ht="12.75">
      <c r="B77" t="s">
        <v>0</v>
      </c>
      <c r="C77">
        <f>20/LN(10)</f>
        <v>8.685889638065035</v>
      </c>
      <c r="D77" t="s">
        <v>96</v>
      </c>
    </row>
    <row r="78" spans="2:5" ht="12.75">
      <c r="B78" t="s">
        <v>1</v>
      </c>
      <c r="C78">
        <f>299.792458/0.3048</f>
        <v>983.5710564304462</v>
      </c>
      <c r="D78" s="31" t="s">
        <v>97</v>
      </c>
      <c r="E78" s="3"/>
    </row>
    <row r="79" spans="2:4" ht="12.75">
      <c r="B79" t="s">
        <v>9</v>
      </c>
      <c r="C79">
        <f>299792458/0.3048</f>
        <v>983571056.4304461</v>
      </c>
      <c r="D79" t="s">
        <v>98</v>
      </c>
    </row>
    <row r="80" spans="2:3" ht="12.75">
      <c r="B80" t="s">
        <v>2</v>
      </c>
      <c r="C80">
        <f>2*PI()</f>
        <v>6.283185307179586</v>
      </c>
    </row>
    <row r="86" spans="3:5" ht="12.75">
      <c r="C86" s="3"/>
      <c r="D86" s="3"/>
      <c r="E86" s="3"/>
    </row>
  </sheetData>
  <mergeCells count="1">
    <mergeCell ref="L2:N2"/>
  </mergeCells>
  <hyperlinks>
    <hyperlink ref="D35" r:id="rId1" display="here"/>
    <hyperlink ref="L2:N2" r:id="rId2" display="http://www.ac6la.com/tlmath.html"/>
  </hyperlinks>
  <printOptions/>
  <pageMargins left="0.75" right="0.75" top="1" bottom="1" header="0.5" footer="0.5"/>
  <pageSetup horizontalDpi="300" verticalDpi="3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Maguire</dc:creator>
  <cp:keywords/>
  <dc:description/>
  <cp:lastModifiedBy>Dan Maguire</cp:lastModifiedBy>
  <cp:lastPrinted>2011-02-03T03:57:45Z</cp:lastPrinted>
  <dcterms:created xsi:type="dcterms:W3CDTF">2010-10-19T03:03:02Z</dcterms:created>
  <dcterms:modified xsi:type="dcterms:W3CDTF">2015-03-25T03:57:48Z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